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kul SMT 7\Skripsi\Analisis Persediaan Bahan Baku\Q dan P\Sidang\"/>
    </mc:Choice>
  </mc:AlternateContent>
  <xr:revisionPtr revIDLastSave="0" documentId="13_ncr:1_{D4672CC7-B339-4B29-A365-AAD2FEE834D0}" xr6:coauthVersionLast="47" xr6:coauthVersionMax="47" xr10:uidLastSave="{00000000-0000-0000-0000-000000000000}"/>
  <bookViews>
    <workbookView xWindow="-110" yWindow="-110" windowWidth="19420" windowHeight="10300" xr2:uid="{C908A47B-EE2A-4CA7-BC62-E473569CE3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B25" i="1"/>
  <c r="B22" i="1"/>
  <c r="F15" i="1"/>
  <c r="F16" i="1"/>
  <c r="E16" i="1"/>
  <c r="F8" i="1"/>
  <c r="Q31" i="1"/>
  <c r="G5" i="1"/>
  <c r="Q63" i="1" l="1"/>
  <c r="Q57" i="1"/>
  <c r="Q54" i="1"/>
  <c r="Q50" i="1"/>
  <c r="Q47" i="1"/>
  <c r="Q67" i="1" s="1"/>
  <c r="G48" i="1" s="1"/>
  <c r="T39" i="1"/>
  <c r="Q44" i="1"/>
  <c r="T34" i="1"/>
  <c r="T26" i="1"/>
  <c r="Q20" i="1"/>
  <c r="F5" i="1"/>
  <c r="F6" i="1"/>
  <c r="F7" i="1"/>
  <c r="F9" i="1"/>
  <c r="F10" i="1"/>
  <c r="F11" i="1"/>
  <c r="F12" i="1"/>
  <c r="F13" i="1"/>
  <c r="F14" i="1"/>
  <c r="F4" i="1"/>
  <c r="M50" i="1"/>
  <c r="M46" i="1"/>
  <c r="M48" i="1" s="1"/>
  <c r="M43" i="1"/>
  <c r="M42" i="1" s="1"/>
  <c r="M49" i="1" s="1"/>
  <c r="M37" i="1"/>
  <c r="M34" i="1"/>
  <c r="M40" i="1" s="1"/>
  <c r="M52" i="1" s="1"/>
  <c r="E48" i="1" s="1"/>
  <c r="J38" i="1"/>
  <c r="J37" i="1" s="1"/>
  <c r="J35" i="1"/>
  <c r="J36" i="1" s="1"/>
  <c r="J34" i="1" s="1"/>
  <c r="J39" i="1" s="1"/>
  <c r="M30" i="1"/>
  <c r="M31" i="1" s="1"/>
  <c r="M29" i="1" s="1"/>
  <c r="N30" i="1" s="1"/>
  <c r="M26" i="1"/>
  <c r="M28" i="1"/>
  <c r="J25" i="1"/>
  <c r="J26" i="1" s="1"/>
  <c r="M21" i="1"/>
  <c r="M22" i="1" s="1"/>
  <c r="M20" i="1"/>
  <c r="M19" i="1"/>
  <c r="J19" i="1"/>
  <c r="J20" i="1" s="1"/>
  <c r="J21" i="1" s="1"/>
  <c r="F21" i="1"/>
  <c r="F22" i="1"/>
  <c r="F23" i="1"/>
  <c r="F24" i="1"/>
  <c r="F25" i="1"/>
  <c r="F26" i="1"/>
  <c r="F27" i="1"/>
  <c r="F28" i="1"/>
  <c r="G20" i="1" s="1"/>
  <c r="G21" i="1" s="1"/>
  <c r="G22" i="1" s="1"/>
  <c r="F29" i="1"/>
  <c r="F30" i="1"/>
  <c r="F31" i="1"/>
  <c r="F20" i="1"/>
  <c r="B19" i="1"/>
  <c r="D16" i="1" l="1"/>
  <c r="C16" i="1"/>
  <c r="B16" i="1"/>
  <c r="L6" i="1" l="1"/>
  <c r="L7" i="1" s="1"/>
  <c r="G47" i="1" l="1"/>
  <c r="E47" i="1"/>
  <c r="E50" i="1" l="1"/>
  <c r="F47" i="1"/>
  <c r="F48" i="1" s="1"/>
  <c r="F49" i="1" s="1"/>
  <c r="H47" i="1"/>
  <c r="H48" i="1" s="1"/>
  <c r="H49" i="1" s="1"/>
  <c r="G50" i="1"/>
</calcChain>
</file>

<file path=xl/sharedStrings.xml><?xml version="1.0" encoding="utf-8"?>
<sst xmlns="http://schemas.openxmlformats.org/spreadsheetml/2006/main" count="65" uniqueCount="44">
  <si>
    <t>Persediaan Awal</t>
  </si>
  <si>
    <t>Pembelian</t>
  </si>
  <si>
    <t>Pemakaian</t>
  </si>
  <si>
    <t>Jumlah</t>
  </si>
  <si>
    <t>Stok akhir</t>
  </si>
  <si>
    <t>Bulan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</si>
  <si>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</si>
  <si>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</si>
  <si>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</si>
  <si>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</si>
  <si>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</si>
  <si>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</si>
  <si>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</si>
  <si>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</si>
  <si>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Januari</t>
  </si>
  <si>
    <t>Februari</t>
  </si>
  <si>
    <t>Maret</t>
  </si>
  <si>
    <t>April</t>
  </si>
  <si>
    <t>Rata-rata</t>
  </si>
  <si>
    <t>Jumlah total persediaan awal+pembelian</t>
  </si>
  <si>
    <t>Standar deviasi</t>
  </si>
  <si>
    <t>q01</t>
  </si>
  <si>
    <t>Nilai T (Interval Waktu</t>
  </si>
  <si>
    <t>Nilai a</t>
  </si>
  <si>
    <t>Persediaan Maksimum</t>
  </si>
  <si>
    <t>Nilai N</t>
  </si>
  <si>
    <t>TC</t>
  </si>
  <si>
    <t>Biaya Simpan</t>
  </si>
  <si>
    <t>Biaya Perusahaan</t>
  </si>
  <si>
    <t>Periodic Review System</t>
  </si>
  <si>
    <t>Continuous Review System</t>
  </si>
  <si>
    <t>Menghitung nilai a</t>
  </si>
  <si>
    <t>q02</t>
  </si>
  <si>
    <t>Nilai a r2</t>
  </si>
  <si>
    <t>ss</t>
  </si>
  <si>
    <t>Metode p</t>
  </si>
  <si>
    <t>Metode Q</t>
  </si>
  <si>
    <t>jumlah lot pemesanan</t>
  </si>
  <si>
    <t>persediaan maksimum</t>
  </si>
  <si>
    <t>jumlah pemesanan</t>
  </si>
  <si>
    <t>Pembelian Metode Perusahaan</t>
  </si>
  <si>
    <t>Pembelian Metode Q</t>
  </si>
  <si>
    <t>Biaya simpan</t>
  </si>
  <si>
    <t>Biaya pesan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</si>
</sst>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0" fillId="2" borderId="1" xfId="0" applyFill="1" applyBorder="1"/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0" fillId="3" borderId="0" xfId="0" applyFill="1"/>
    <xf numFmtId="2" fontId="0" fillId="4" borderId="0" xfId="0" applyNumberFormat="1" applyFill="1"/>
    <xf numFmtId="0" fontId="0" fillId="4" borderId="0" xfId="0" applyFill="1"/>
    <xf numFmtId="0" fontId="0" fillId="2" borderId="2" xfId="0" applyFill="1" applyBorder="1"/>
    <xf numFmtId="0" fontId="0" fillId="0" borderId="1" xfId="0" applyBorder="1"/>
    <xf numFmtId="2" fontId="4" fillId="4" borderId="0" xfId="0" applyNumberFormat="1" applyFont="1" applyFill="1"/>
    <xf numFmtId="164" fontId="0" fillId="4" borderId="0" xfId="0" applyNumberFormat="1" applyFill="1"/>
    <xf numFmtId="0" fontId="0" fillId="0" borderId="0" xfId="1" applyNumberFormat="1" applyFont="1"/>
    <xf numFmtId="9" fontId="0" fillId="0" borderId="0" xfId="1" applyFont="1"/>
    <xf numFmtId="0" fontId="0" fillId="2" borderId="0" xfId="0" applyFill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Persediaan Awal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Mei</c:v>
                </c:pt>
                <c:pt idx="1">
                  <c:v>Juni</c:v>
                </c:pt>
                <c:pt idx="2">
                  <c:v>Juli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Desember</c:v>
                </c:pt>
                <c:pt idx="8">
                  <c:v>Januari</c:v>
                </c:pt>
                <c:pt idx="9">
                  <c:v>Februari</c:v>
                </c:pt>
                <c:pt idx="10">
                  <c:v>Maret</c:v>
                </c:pt>
                <c:pt idx="11">
                  <c:v>April</c:v>
                </c:pt>
              </c:strCache>
            </c:strRef>
          </c:cat>
          <c:val>
            <c:numRef>
              <c:f>Sheet1!$B$4:$B$15</c:f>
              <c:numCache>
                <c:formatCode>General</c:formatCode>
                <c:ptCount val="12"/>
                <c:pt idx="0">
                  <c:v>3350</c:v>
                </c:pt>
                <c:pt idx="1">
                  <c:v>180</c:v>
                </c:pt>
                <c:pt idx="2">
                  <c:v>320</c:v>
                </c:pt>
                <c:pt idx="3">
                  <c:v>470</c:v>
                </c:pt>
                <c:pt idx="4">
                  <c:v>550</c:v>
                </c:pt>
                <c:pt idx="5">
                  <c:v>555</c:v>
                </c:pt>
                <c:pt idx="6">
                  <c:v>576</c:v>
                </c:pt>
                <c:pt idx="7">
                  <c:v>56</c:v>
                </c:pt>
                <c:pt idx="8">
                  <c:v>0</c:v>
                </c:pt>
                <c:pt idx="9">
                  <c:v>88</c:v>
                </c:pt>
                <c:pt idx="10">
                  <c:v>0</c:v>
                </c:pt>
                <c:pt idx="11">
                  <c:v>2275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B1-445A-BB3D-F5BF4E020914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Pembelian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Mei</c:v>
                </c:pt>
                <c:pt idx="1">
                  <c:v>Juni</c:v>
                </c:pt>
                <c:pt idx="2">
                  <c:v>Juli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Desember</c:v>
                </c:pt>
                <c:pt idx="8">
                  <c:v>Januari</c:v>
                </c:pt>
                <c:pt idx="9">
                  <c:v>Februari</c:v>
                </c:pt>
                <c:pt idx="10">
                  <c:v>Maret</c:v>
                </c:pt>
                <c:pt idx="11">
                  <c:v>April</c:v>
                </c:pt>
              </c:strCache>
            </c:strRef>
          </c:cat>
          <c:val>
            <c:numRef>
              <c:f>Sheet1!$C$4:$C$15</c:f>
              <c:numCache>
                <c:formatCode>General</c:formatCode>
                <c:ptCount val="12"/>
                <c:pt idx="1">
                  <c:v>2800</c:v>
                </c:pt>
                <c:pt idx="2">
                  <c:v>2300</c:v>
                </c:pt>
                <c:pt idx="3">
                  <c:v>3250</c:v>
                </c:pt>
                <c:pt idx="4">
                  <c:v>1360</c:v>
                </c:pt>
                <c:pt idx="5">
                  <c:v>1700</c:v>
                </c:pt>
                <c:pt idx="6">
                  <c:v>1000</c:v>
                </c:pt>
                <c:pt idx="7">
                  <c:v>2500</c:v>
                </c:pt>
                <c:pt idx="8">
                  <c:v>3200</c:v>
                </c:pt>
                <c:pt idx="9">
                  <c:v>1450</c:v>
                </c:pt>
                <c:pt idx="10">
                  <c:v>3500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B1-445A-BB3D-F5BF4E020914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Pemakaian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Mei</c:v>
                </c:pt>
                <c:pt idx="1">
                  <c:v>Juni</c:v>
                </c:pt>
                <c:pt idx="2">
                  <c:v>Juli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Desember</c:v>
                </c:pt>
                <c:pt idx="8">
                  <c:v>Januari</c:v>
                </c:pt>
                <c:pt idx="9">
                  <c:v>Februari</c:v>
                </c:pt>
                <c:pt idx="10">
                  <c:v>Maret</c:v>
                </c:pt>
                <c:pt idx="11">
                  <c:v>April</c:v>
                </c:pt>
              </c:strCache>
            </c:strRef>
          </c:cat>
          <c:val>
            <c:numRef>
              <c:f>Sheet1!$D$4:$D$15</c:f>
              <c:numCache>
                <c:formatCode>General</c:formatCode>
                <c:ptCount val="12"/>
                <c:pt idx="0">
                  <c:v>3170</c:v>
                </c:pt>
                <c:pt idx="1">
                  <c:v>2660</c:v>
                </c:pt>
                <c:pt idx="2">
                  <c:v>2150</c:v>
                </c:pt>
                <c:pt idx="3">
                  <c:v>3170</c:v>
                </c:pt>
                <c:pt idx="4">
                  <c:v>1355</c:v>
                </c:pt>
                <c:pt idx="5">
                  <c:v>1679</c:v>
                </c:pt>
                <c:pt idx="6">
                  <c:v>1520</c:v>
                </c:pt>
                <c:pt idx="7">
                  <c:v>2630</c:v>
                </c:pt>
                <c:pt idx="8">
                  <c:v>3112</c:v>
                </c:pt>
                <c:pt idx="9">
                  <c:v>1570</c:v>
                </c:pt>
                <c:pt idx="10">
                  <c:v>1225</c:v>
                </c:pt>
                <c:pt idx="11">
                  <c:v>2175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B1-445A-BB3D-F5BF4E020914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Stok akhir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Mei</c:v>
                </c:pt>
                <c:pt idx="1">
                  <c:v>Juni</c:v>
                </c:pt>
                <c:pt idx="2">
                  <c:v>Juli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Desember</c:v>
                </c:pt>
                <c:pt idx="8">
                  <c:v>Januari</c:v>
                </c:pt>
                <c:pt idx="9">
                  <c:v>Februari</c:v>
                </c:pt>
                <c:pt idx="10">
                  <c:v>Maret</c:v>
                </c:pt>
                <c:pt idx="11">
                  <c:v>April</c:v>
                </c:pt>
              </c:strCache>
            </c:strRef>
          </c:cat>
          <c:val>
            <c:numRef>
              <c:f>Sheet1!$E$4:$E$15</c:f>
              <c:numCache>
                <c:formatCode>General</c:formatCode>
                <c:ptCount val="12"/>
                <c:pt idx="0">
                  <c:v>180</c:v>
                </c:pt>
                <c:pt idx="1">
                  <c:v>320</c:v>
                </c:pt>
                <c:pt idx="2">
                  <c:v>470</c:v>
                </c:pt>
                <c:pt idx="3">
                  <c:v>550</c:v>
                </c:pt>
                <c:pt idx="4">
                  <c:v>555</c:v>
                </c:pt>
                <c:pt idx="5">
                  <c:v>576</c:v>
                </c:pt>
                <c:pt idx="6">
                  <c:v>56</c:v>
                </c:pt>
                <c:pt idx="7">
                  <c:v>0</c:v>
                </c:pt>
                <c:pt idx="8">
                  <c:v>88</c:v>
                </c:pt>
                <c:pt idx="9">
                  <c:v>0</c:v>
                </c:pt>
                <c:pt idx="10">
                  <c:v>2275</c:v>
                </c:pt>
                <c:pt idx="1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CB1-445A-BB3D-F5BF4E02091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35280032"/>
        <c:axId val="2035275232"/>
      </c:lineChart>
      <c:catAx>
        <c:axId val="203528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5275232"/>
        <c:crosses val="autoZero"/>
        <c:auto val="1"/>
        <c:lblAlgn val="ctr"/>
        <c:lblOffset val="100"/>
        <c:noMultiLvlLbl val="0"/>
      </c:catAx>
      <c:valAx>
        <c:axId val="203527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5280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Sheet1!$E$78</c:f>
              <c:strCache>
                <c:ptCount val="1"/>
                <c:pt idx="0">
                  <c:v>Persediaan Awal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Sheet1!$D$79:$D$90</c:f>
              <c:strCache>
                <c:ptCount val="12"/>
                <c:pt idx="0">
                  <c:v>Mei</c:v>
                </c:pt>
                <c:pt idx="1">
                  <c:v>Juni</c:v>
                </c:pt>
                <c:pt idx="2">
                  <c:v>Juli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Desember</c:v>
                </c:pt>
                <c:pt idx="8">
                  <c:v>Januari</c:v>
                </c:pt>
                <c:pt idx="9">
                  <c:v>Februari</c:v>
                </c:pt>
                <c:pt idx="10">
                  <c:v>Maret</c:v>
                </c:pt>
                <c:pt idx="11">
                  <c:v>April</c:v>
                </c:pt>
              </c:strCache>
            </c:strRef>
          </c:cat>
          <c:val>
            <c:numRef>
              <c:f>Sheet1!$E$79:$E$90</c:f>
              <c:numCache>
                <c:formatCode>General</c:formatCode>
                <c:ptCount val="12"/>
                <c:pt idx="0">
                  <c:v>3350</c:v>
                </c:pt>
                <c:pt idx="1">
                  <c:v>180</c:v>
                </c:pt>
                <c:pt idx="2">
                  <c:v>320</c:v>
                </c:pt>
                <c:pt idx="3">
                  <c:v>470</c:v>
                </c:pt>
                <c:pt idx="4">
                  <c:v>550</c:v>
                </c:pt>
                <c:pt idx="5">
                  <c:v>555</c:v>
                </c:pt>
                <c:pt idx="6">
                  <c:v>576</c:v>
                </c:pt>
                <c:pt idx="7">
                  <c:v>56</c:v>
                </c:pt>
                <c:pt idx="8">
                  <c:v>0</c:v>
                </c:pt>
                <c:pt idx="9">
                  <c:v>88</c:v>
                </c:pt>
                <c:pt idx="10">
                  <c:v>0</c:v>
                </c:pt>
                <c:pt idx="11">
                  <c:v>2275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CD-42D8-8391-464BBB605D3E}"/>
            </c:ext>
          </c:extLst>
        </c:ser>
        <c:ser>
          <c:idx val="1"/>
          <c:order val="1"/>
          <c:tx>
            <c:strRef>
              <c:f>Sheet1!$F$78</c:f>
              <c:strCache>
                <c:ptCount val="1"/>
                <c:pt idx="0">
                  <c:v>Pembelian Metode Perusahaan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Sheet1!$D$79:$D$90</c:f>
              <c:strCache>
                <c:ptCount val="12"/>
                <c:pt idx="0">
                  <c:v>Mei</c:v>
                </c:pt>
                <c:pt idx="1">
                  <c:v>Juni</c:v>
                </c:pt>
                <c:pt idx="2">
                  <c:v>Juli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Desember</c:v>
                </c:pt>
                <c:pt idx="8">
                  <c:v>Januari</c:v>
                </c:pt>
                <c:pt idx="9">
                  <c:v>Februari</c:v>
                </c:pt>
                <c:pt idx="10">
                  <c:v>Maret</c:v>
                </c:pt>
                <c:pt idx="11">
                  <c:v>April</c:v>
                </c:pt>
              </c:strCache>
            </c:strRef>
          </c:cat>
          <c:val>
            <c:numRef>
              <c:f>Sheet1!$F$79:$F$90</c:f>
              <c:numCache>
                <c:formatCode>General</c:formatCode>
                <c:ptCount val="12"/>
                <c:pt idx="1">
                  <c:v>2800</c:v>
                </c:pt>
                <c:pt idx="2">
                  <c:v>2300</c:v>
                </c:pt>
                <c:pt idx="3">
                  <c:v>3250</c:v>
                </c:pt>
                <c:pt idx="4">
                  <c:v>1360</c:v>
                </c:pt>
                <c:pt idx="5">
                  <c:v>1700</c:v>
                </c:pt>
                <c:pt idx="6">
                  <c:v>1000</c:v>
                </c:pt>
                <c:pt idx="7">
                  <c:v>2500</c:v>
                </c:pt>
                <c:pt idx="8">
                  <c:v>3200</c:v>
                </c:pt>
                <c:pt idx="9">
                  <c:v>1450</c:v>
                </c:pt>
                <c:pt idx="10">
                  <c:v>3500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CD-42D8-8391-464BBB605D3E}"/>
            </c:ext>
          </c:extLst>
        </c:ser>
        <c:ser>
          <c:idx val="2"/>
          <c:order val="2"/>
          <c:tx>
            <c:strRef>
              <c:f>Sheet1!$G$78</c:f>
              <c:strCache>
                <c:ptCount val="1"/>
                <c:pt idx="0">
                  <c:v>Pembelian Metode Q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Sheet1!$D$79:$D$90</c:f>
              <c:strCache>
                <c:ptCount val="12"/>
                <c:pt idx="0">
                  <c:v>Mei</c:v>
                </c:pt>
                <c:pt idx="1">
                  <c:v>Juni</c:v>
                </c:pt>
                <c:pt idx="2">
                  <c:v>Juli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Desember</c:v>
                </c:pt>
                <c:pt idx="8">
                  <c:v>Januari</c:v>
                </c:pt>
                <c:pt idx="9">
                  <c:v>Februari</c:v>
                </c:pt>
                <c:pt idx="10">
                  <c:v>Maret</c:v>
                </c:pt>
                <c:pt idx="11">
                  <c:v>April</c:v>
                </c:pt>
              </c:strCache>
            </c:strRef>
          </c:cat>
          <c:val>
            <c:numRef>
              <c:f>Sheet1!$G$79:$G$90</c:f>
              <c:numCache>
                <c:formatCode>General</c:formatCode>
                <c:ptCount val="12"/>
                <c:pt idx="0">
                  <c:v>1191.3900000000001</c:v>
                </c:pt>
                <c:pt idx="1">
                  <c:v>1191.3900000000001</c:v>
                </c:pt>
                <c:pt idx="2">
                  <c:v>1191.3900000000001</c:v>
                </c:pt>
                <c:pt idx="3">
                  <c:v>1191.3900000000001</c:v>
                </c:pt>
                <c:pt idx="4">
                  <c:v>1191.3900000000001</c:v>
                </c:pt>
                <c:pt idx="5">
                  <c:v>1191.3900000000001</c:v>
                </c:pt>
                <c:pt idx="6">
                  <c:v>1191.3900000000001</c:v>
                </c:pt>
                <c:pt idx="7">
                  <c:v>1191.3900000000001</c:v>
                </c:pt>
                <c:pt idx="8">
                  <c:v>1191.3900000000001</c:v>
                </c:pt>
                <c:pt idx="9">
                  <c:v>1191.3900000000001</c:v>
                </c:pt>
                <c:pt idx="10">
                  <c:v>1191.3900000000001</c:v>
                </c:pt>
                <c:pt idx="11">
                  <c:v>1191.3900000000001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CD-42D8-8391-464BBB605D3E}"/>
            </c:ext>
          </c:extLst>
        </c:ser>
        <c:ser>
          <c:idx val="3"/>
          <c:order val="3"/>
          <c:tx>
            <c:strRef>
              <c:f>Sheet1!$H$78</c:f>
              <c:strCache>
                <c:ptCount val="1"/>
                <c:pt idx="0">
                  <c:v>Pemakaian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Sheet1!$D$79:$D$90</c:f>
              <c:strCache>
                <c:ptCount val="12"/>
                <c:pt idx="0">
                  <c:v>Mei</c:v>
                </c:pt>
                <c:pt idx="1">
                  <c:v>Juni</c:v>
                </c:pt>
                <c:pt idx="2">
                  <c:v>Juli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Desember</c:v>
                </c:pt>
                <c:pt idx="8">
                  <c:v>Januari</c:v>
                </c:pt>
                <c:pt idx="9">
                  <c:v>Februari</c:v>
                </c:pt>
                <c:pt idx="10">
                  <c:v>Maret</c:v>
                </c:pt>
                <c:pt idx="11">
                  <c:v>April</c:v>
                </c:pt>
              </c:strCache>
            </c:strRef>
          </c:cat>
          <c:val>
            <c:numRef>
              <c:f>Sheet1!$H$79:$H$90</c:f>
              <c:numCache>
                <c:formatCode>General</c:formatCode>
                <c:ptCount val="12"/>
                <c:pt idx="0">
                  <c:v>3170</c:v>
                </c:pt>
                <c:pt idx="1">
                  <c:v>2660</c:v>
                </c:pt>
                <c:pt idx="2">
                  <c:v>2150</c:v>
                </c:pt>
                <c:pt idx="3">
                  <c:v>3170</c:v>
                </c:pt>
                <c:pt idx="4">
                  <c:v>1355</c:v>
                </c:pt>
                <c:pt idx="5">
                  <c:v>1679</c:v>
                </c:pt>
                <c:pt idx="6">
                  <c:v>1520</c:v>
                </c:pt>
                <c:pt idx="7">
                  <c:v>2630</c:v>
                </c:pt>
                <c:pt idx="8">
                  <c:v>3112</c:v>
                </c:pt>
                <c:pt idx="9">
                  <c:v>1570</c:v>
                </c:pt>
                <c:pt idx="10">
                  <c:v>1225</c:v>
                </c:pt>
                <c:pt idx="11">
                  <c:v>2175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CD-42D8-8391-464BBB605D3E}"/>
            </c:ext>
          </c:extLst>
        </c:ser>
        <c:ser>
          <c:idx val="4"/>
          <c:order val="4"/>
          <c:tx>
            <c:strRef>
              <c:f>Sheet1!$I$78</c:f>
              <c:strCache>
                <c:ptCount val="1"/>
                <c:pt idx="0">
                  <c:v>Stok akhir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Sheet1!$D$79:$D$90</c:f>
              <c:strCache>
                <c:ptCount val="12"/>
                <c:pt idx="0">
                  <c:v>Mei</c:v>
                </c:pt>
                <c:pt idx="1">
                  <c:v>Juni</c:v>
                </c:pt>
                <c:pt idx="2">
                  <c:v>Juli</c:v>
                </c:pt>
                <c:pt idx="3">
                  <c:v>Agustus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Desember</c:v>
                </c:pt>
                <c:pt idx="8">
                  <c:v>Januari</c:v>
                </c:pt>
                <c:pt idx="9">
                  <c:v>Februari</c:v>
                </c:pt>
                <c:pt idx="10">
                  <c:v>Maret</c:v>
                </c:pt>
                <c:pt idx="11">
                  <c:v>April</c:v>
                </c:pt>
              </c:strCache>
            </c:strRef>
          </c:cat>
          <c:val>
            <c:numRef>
              <c:f>Sheet1!$I$79:$I$90</c:f>
              <c:numCache>
                <c:formatCode>General</c:formatCode>
                <c:ptCount val="12"/>
                <c:pt idx="0">
                  <c:v>180</c:v>
                </c:pt>
                <c:pt idx="1">
                  <c:v>320</c:v>
                </c:pt>
                <c:pt idx="2">
                  <c:v>470</c:v>
                </c:pt>
                <c:pt idx="3">
                  <c:v>550</c:v>
                </c:pt>
                <c:pt idx="4">
                  <c:v>555</c:v>
                </c:pt>
                <c:pt idx="5">
                  <c:v>576</c:v>
                </c:pt>
                <c:pt idx="6">
                  <c:v>56</c:v>
                </c:pt>
                <c:pt idx="7">
                  <c:v>0</c:v>
                </c:pt>
                <c:pt idx="8">
                  <c:v>88</c:v>
                </c:pt>
                <c:pt idx="9">
                  <c:v>0</c:v>
                </c:pt>
                <c:pt idx="10">
                  <c:v>2275</c:v>
                </c:pt>
                <c:pt idx="1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4CD-42D8-8391-464BBB605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1189120"/>
        <c:axId val="2041172320"/>
      </c:lineChart>
      <c:catAx>
        <c:axId val="204118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1172320"/>
        <c:crosses val="autoZero"/>
        <c:auto val="1"/>
        <c:lblAlgn val="ctr"/>
        <c:lblOffset val="100"/>
        <c:noMultiLvlLbl val="0"/>
      </c:catAx>
      <c:valAx>
        <c:axId val="204117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1189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752475</xdr:colOff>
      <xdr:row>0</xdr:row>
      <xdr:rowOff>44450</xdr:rowOff>
    </xdr:from>
    <xdr:to>
      <xdr:col>17</xdr:col>
      <xdr:colOff>79375</xdr:colOff>
      <xdr:row>15</xdr:row>
      <xdr:rowOff>25400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682BB5C-56CE-ADF2-6119-0173AD7463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254000</xdr:colOff>
      <xdr:row>73</xdr:row>
      <xdr:rowOff>25400</xdr:rowOff>
    </xdr:from>
    <xdr:to>
      <xdr:col>16</xdr:col>
      <xdr:colOff>476250</xdr:colOff>
      <xdr:row>90</xdr:row>
      <xdr:rowOff>146050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76D418C-035B-4482-72FD-8CAD387FBB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14238-4043-4C10-B484-0B6BC1B1B5F2}">
  <dimension ref="A3:T90"/>
  <sheetViews>
    <sheetView tabSelected="1" topLeftCell="A64" workbookViewId="0">
      <selection activeCell="I8" sqref="I8"/>
    </sheetView>
  </sheetViews>
  <sheetFormatPr defaultRowHeight="14.5" x14ac:dyDescent="0.35"/>
  <cols>
    <col min="2" max="2" width="15.08984375" customWidth="1"/>
    <col min="3" max="3" width="14.453125" customWidth="1"/>
    <col min="4" max="4" width="11.54296875" customWidth="1"/>
    <col min="5" max="5" width="10" customWidth="1"/>
    <col min="6" max="6" width="11.1796875" customWidth="1"/>
    <col min="7" max="8" width="9.81640625" bestFit="1" customWidth="1"/>
    <col min="9" max="9" width="8.7265625" customWidth="1"/>
    <col min="10" max="10" width="10.81640625" bestFit="1" customWidth="1"/>
    <col min="13" max="13" width="9.81640625" bestFit="1" customWidth="1"/>
    <col min="17" max="17" width="10.81640625" bestFit="1" customWidth="1"/>
    <col min="20" max="20" width="9.81640625" bestFit="1" customWidth="1"/>
  </cols>
  <sheetData>
    <row r="3" spans="1:20" x14ac:dyDescent="0.35">
      <c r="A3" s="1" t="s">
        <v>5</v>
      </c>
      <c r="B3" s="1" t="s">
        <v>0</v>
      </c>
      <c r="C3" s="1" t="s">
        <v>1</v>
      </c>
      <c r="D3" s="1" t="s">
        <v>2</v>
      </c>
      <c r="E3" s="1" t="s">
        <v>4</v>
      </c>
      <c r="F3" s="1" t="s">
        <v>27</v>
      </c>
    </row>
    <row r="4" spans="1:20" x14ac:dyDescent="0.35">
      <c r="A4" s="2" t="s">
        <v>6</v>
      </c>
      <c r="B4" s="2">
        <v>3350</v>
      </c>
      <c r="C4" s="2"/>
      <c r="D4" s="2">
        <v>3170</v>
      </c>
      <c r="E4" s="2">
        <v>180</v>
      </c>
      <c r="F4" s="8">
        <f>E4*6000</f>
        <v>1080000</v>
      </c>
      <c r="G4" s="15" t="s">
        <v>19</v>
      </c>
      <c r="H4" s="15"/>
      <c r="I4" s="15"/>
      <c r="J4" s="15"/>
    </row>
    <row r="5" spans="1:20" x14ac:dyDescent="0.35">
      <c r="A5" s="2" t="s">
        <v>7</v>
      </c>
      <c r="B5" s="2">
        <v>180</v>
      </c>
      <c r="C5" s="2">
        <v>2800</v>
      </c>
      <c r="D5" s="2">
        <v>2660</v>
      </c>
      <c r="E5" s="2">
        <v>320</v>
      </c>
      <c r="F5" s="8">
        <f t="shared" ref="F5:F15" si="0">E5*6000</f>
        <v>1920000</v>
      </c>
      <c r="G5" s="15">
        <f>B4+B5+C5+B6+C6+B7+C7+B8+C8+B9+C9+B10+C10+B11+C11+C12+B13+C13+C14+B15</f>
        <v>31480</v>
      </c>
      <c r="H5" s="15"/>
      <c r="I5" s="15"/>
      <c r="J5" s="15"/>
    </row>
    <row r="6" spans="1:20" x14ac:dyDescent="0.35">
      <c r="A6" s="2" t="s">
        <v>8</v>
      </c>
      <c r="B6" s="2">
        <v>320</v>
      </c>
      <c r="C6" s="2">
        <v>2300</v>
      </c>
      <c r="D6" s="2">
        <v>2150</v>
      </c>
      <c r="E6" s="2">
        <v>470</v>
      </c>
      <c r="F6" s="8">
        <f t="shared" si="0"/>
        <v>2820000</v>
      </c>
      <c r="L6">
        <f>D16-C16</f>
        <v>3356</v>
      </c>
    </row>
    <row r="7" spans="1:20" x14ac:dyDescent="0.35">
      <c r="A7" s="2" t="s">
        <v>9</v>
      </c>
      <c r="B7" s="2">
        <v>470</v>
      </c>
      <c r="C7" s="2">
        <v>3250</v>
      </c>
      <c r="D7" s="2">
        <v>3170</v>
      </c>
      <c r="E7" s="2">
        <v>550</v>
      </c>
      <c r="F7" s="8">
        <f t="shared" si="0"/>
        <v>3300000</v>
      </c>
      <c r="H7" s="15" t="s">
        <v>28</v>
      </c>
      <c r="I7" s="15"/>
      <c r="L7" s="12">
        <f>L6/D16</f>
        <v>0.1270442156268928</v>
      </c>
    </row>
    <row r="8" spans="1:20" x14ac:dyDescent="0.35">
      <c r="A8" s="2" t="s">
        <v>10</v>
      </c>
      <c r="B8" s="2">
        <v>550</v>
      </c>
      <c r="C8" s="2">
        <v>1360</v>
      </c>
      <c r="D8" s="2">
        <v>1355</v>
      </c>
      <c r="E8" s="2">
        <v>555</v>
      </c>
      <c r="F8" s="8">
        <f>E8*6000</f>
        <v>3330000</v>
      </c>
      <c r="H8" s="6">
        <f>D16*30000+F16</f>
        <v>823500000</v>
      </c>
      <c r="I8" s="6"/>
    </row>
    <row r="9" spans="1:20" x14ac:dyDescent="0.35">
      <c r="A9" s="2" t="s">
        <v>11</v>
      </c>
      <c r="B9" s="2">
        <v>555</v>
      </c>
      <c r="C9" s="2">
        <v>1700</v>
      </c>
      <c r="D9" s="2">
        <v>1679</v>
      </c>
      <c r="E9" s="2">
        <v>576</v>
      </c>
      <c r="F9" s="8">
        <f t="shared" si="0"/>
        <v>3456000</v>
      </c>
    </row>
    <row r="10" spans="1:20" x14ac:dyDescent="0.35">
      <c r="A10" s="2" t="s">
        <v>12</v>
      </c>
      <c r="B10" s="2">
        <v>576</v>
      </c>
      <c r="C10" s="2">
        <v>1000</v>
      </c>
      <c r="D10" s="2">
        <v>1520</v>
      </c>
      <c r="E10" s="2">
        <v>56</v>
      </c>
      <c r="F10" s="8">
        <f t="shared" si="0"/>
        <v>336000</v>
      </c>
    </row>
    <row r="11" spans="1:20" x14ac:dyDescent="0.35">
      <c r="A11" s="2" t="s">
        <v>13</v>
      </c>
      <c r="B11" s="2">
        <v>56</v>
      </c>
      <c r="C11" s="2">
        <v>2500</v>
      </c>
      <c r="D11" s="2">
        <v>2630</v>
      </c>
      <c r="E11" s="2">
        <v>0</v>
      </c>
      <c r="F11" s="8">
        <f t="shared" si="0"/>
        <v>0</v>
      </c>
    </row>
    <row r="12" spans="1:20" x14ac:dyDescent="0.35">
      <c r="A12" s="2" t="s">
        <v>14</v>
      </c>
      <c r="B12" s="2">
        <v>0</v>
      </c>
      <c r="C12" s="2">
        <v>3200</v>
      </c>
      <c r="D12" s="2">
        <v>3112</v>
      </c>
      <c r="E12" s="2">
        <v>88</v>
      </c>
      <c r="F12" s="8">
        <f t="shared" si="0"/>
        <v>528000</v>
      </c>
    </row>
    <row r="13" spans="1:20" x14ac:dyDescent="0.35">
      <c r="A13" s="2" t="s">
        <v>15</v>
      </c>
      <c r="B13" s="2">
        <v>88</v>
      </c>
      <c r="C13" s="2">
        <v>1450</v>
      </c>
      <c r="D13" s="2">
        <v>1570</v>
      </c>
      <c r="E13" s="2">
        <v>0</v>
      </c>
      <c r="F13" s="8">
        <f t="shared" si="0"/>
        <v>0</v>
      </c>
    </row>
    <row r="14" spans="1:20" x14ac:dyDescent="0.35">
      <c r="A14" s="2" t="s">
        <v>16</v>
      </c>
      <c r="B14" s="2">
        <v>0</v>
      </c>
      <c r="C14" s="2">
        <v>3500</v>
      </c>
      <c r="D14" s="2">
        <v>1225</v>
      </c>
      <c r="E14" s="2">
        <v>2275</v>
      </c>
      <c r="F14" s="8">
        <f t="shared" si="0"/>
        <v>13650000</v>
      </c>
    </row>
    <row r="15" spans="1:20" x14ac:dyDescent="0.35">
      <c r="A15" s="2" t="s">
        <v>17</v>
      </c>
      <c r="B15" s="2">
        <v>2275</v>
      </c>
      <c r="C15" s="2">
        <v>0</v>
      </c>
      <c r="D15" s="2">
        <v>2175</v>
      </c>
      <c r="E15" s="2">
        <v>100</v>
      </c>
      <c r="F15" s="8">
        <f>E15*6000</f>
        <v>600000</v>
      </c>
    </row>
    <row r="16" spans="1:20" x14ac:dyDescent="0.35">
      <c r="A16" s="1" t="s">
        <v>3</v>
      </c>
      <c r="B16" s="1">
        <f>SUM(B4:B15)</f>
        <v>8420</v>
      </c>
      <c r="C16" s="1">
        <f>SUM(C4:C15)</f>
        <v>23060</v>
      </c>
      <c r="D16" s="1">
        <f>SUM(D4:D15)</f>
        <v>26416</v>
      </c>
      <c r="E16" s="1">
        <f>SUM(E4:E15)</f>
        <v>5170</v>
      </c>
      <c r="F16" s="7">
        <f>SUM(F4:F15)</f>
        <v>31020000</v>
      </c>
      <c r="I16" s="17" t="s">
        <v>29</v>
      </c>
      <c r="J16" s="18"/>
      <c r="K16" s="18"/>
      <c r="L16" s="18"/>
      <c r="M16" s="18"/>
      <c r="N16" s="18"/>
      <c r="P16" s="18" t="s">
        <v>30</v>
      </c>
      <c r="Q16" s="18"/>
      <c r="R16" s="18"/>
      <c r="S16" s="18"/>
      <c r="T16" s="18"/>
    </row>
    <row r="17" spans="2:20" x14ac:dyDescent="0.35">
      <c r="I17" s="18"/>
      <c r="J17" s="18"/>
      <c r="K17" s="18"/>
      <c r="L17" s="18"/>
      <c r="M17" s="18"/>
      <c r="N17" s="18"/>
      <c r="P17" s="18"/>
      <c r="Q17" s="18"/>
      <c r="R17" s="18"/>
      <c r="S17" s="18"/>
      <c r="T17" s="18"/>
    </row>
    <row r="18" spans="2:20" x14ac:dyDescent="0.35">
      <c r="B18" s="4" t="s">
        <v>18</v>
      </c>
      <c r="D18" s="16" t="s">
        <v>20</v>
      </c>
      <c r="E18" s="16"/>
      <c r="F18" s="16"/>
      <c r="G18" s="16"/>
      <c r="I18" s="14" t="s">
        <v>21</v>
      </c>
      <c r="J18" s="14"/>
      <c r="L18" s="14" t="s">
        <v>22</v>
      </c>
      <c r="M18" s="14"/>
      <c r="P18" s="14" t="s">
        <v>21</v>
      </c>
      <c r="Q18" s="14"/>
      <c r="S18" t="s">
        <v>31</v>
      </c>
    </row>
    <row r="19" spans="2:20" x14ac:dyDescent="0.35">
      <c r="B19" s="3">
        <f>G5/12</f>
        <v>2623.3333333333335</v>
      </c>
      <c r="D19" t="s">
        <v>2</v>
      </c>
      <c r="E19" t="s">
        <v>18</v>
      </c>
      <c r="I19">
        <v>2</v>
      </c>
      <c r="J19">
        <f>I19*I20*I21</f>
        <v>7924800000</v>
      </c>
      <c r="L19">
        <v>2</v>
      </c>
      <c r="M19">
        <f>L19*L20</f>
        <v>300000</v>
      </c>
      <c r="P19">
        <v>2</v>
      </c>
      <c r="S19">
        <v>6000</v>
      </c>
    </row>
    <row r="20" spans="2:20" x14ac:dyDescent="0.35">
      <c r="D20" s="2">
        <v>3170</v>
      </c>
      <c r="E20">
        <v>2623.33</v>
      </c>
      <c r="F20">
        <f>(D20-E20)^2</f>
        <v>298848.08890000009</v>
      </c>
      <c r="G20">
        <f>SUM(F20:F31)</f>
        <v>8045512.9068</v>
      </c>
      <c r="I20">
        <v>150000</v>
      </c>
      <c r="J20">
        <f>J19/I22</f>
        <v>1320800</v>
      </c>
      <c r="L20">
        <v>150000</v>
      </c>
      <c r="M20">
        <f>L21*L22</f>
        <v>158496000</v>
      </c>
      <c r="P20">
        <v>150000</v>
      </c>
      <c r="Q20" s="9">
        <f>SQRT((P19*P20*P21)/P22)</f>
        <v>1149.2606318846913</v>
      </c>
      <c r="S20">
        <v>1149.26</v>
      </c>
    </row>
    <row r="21" spans="2:20" x14ac:dyDescent="0.35">
      <c r="B21" t="s">
        <v>42</v>
      </c>
      <c r="D21" s="2">
        <v>2660</v>
      </c>
      <c r="E21">
        <v>2623.33</v>
      </c>
      <c r="F21">
        <f t="shared" ref="F21:F31" si="1">(D21-E21)^2</f>
        <v>1344.6889000000053</v>
      </c>
      <c r="G21">
        <f>G20/(12-1)</f>
        <v>731410.26425454544</v>
      </c>
      <c r="I21">
        <v>26416</v>
      </c>
      <c r="J21" s="5">
        <f>SQRT(J20)</f>
        <v>1149.2606318846913</v>
      </c>
      <c r="L21">
        <v>26416</v>
      </c>
      <c r="M21">
        <f>M19/M20</f>
        <v>1.8927922471229557E-3</v>
      </c>
      <c r="P21">
        <v>26416</v>
      </c>
    </row>
    <row r="22" spans="2:20" x14ac:dyDescent="0.35">
      <c r="B22">
        <f>E16*6000</f>
        <v>31020000</v>
      </c>
      <c r="D22" s="2">
        <v>2150</v>
      </c>
      <c r="E22">
        <v>2623.33</v>
      </c>
      <c r="F22">
        <f t="shared" si="1"/>
        <v>224041.28889999993</v>
      </c>
      <c r="G22" s="3">
        <f>SQRT(G21)</f>
        <v>855.22527105701533</v>
      </c>
      <c r="I22">
        <v>6000</v>
      </c>
      <c r="L22">
        <v>6000</v>
      </c>
      <c r="M22" s="6">
        <f>SQRT(M21)</f>
        <v>4.3506232279099458E-2</v>
      </c>
      <c r="P22">
        <v>6000</v>
      </c>
      <c r="S22">
        <v>7000</v>
      </c>
    </row>
    <row r="23" spans="2:20" x14ac:dyDescent="0.35">
      <c r="D23" s="2">
        <v>3170</v>
      </c>
      <c r="E23">
        <v>2623.33</v>
      </c>
      <c r="F23">
        <f t="shared" si="1"/>
        <v>298848.08890000009</v>
      </c>
      <c r="S23">
        <v>26416</v>
      </c>
    </row>
    <row r="24" spans="2:20" x14ac:dyDescent="0.35">
      <c r="B24" t="s">
        <v>43</v>
      </c>
      <c r="D24" s="2">
        <v>1355</v>
      </c>
      <c r="E24">
        <v>2623.33</v>
      </c>
      <c r="F24">
        <f t="shared" si="1"/>
        <v>1608660.9888999998</v>
      </c>
      <c r="I24" s="14" t="s">
        <v>23</v>
      </c>
      <c r="J24" s="14"/>
    </row>
    <row r="25" spans="2:20" x14ac:dyDescent="0.35">
      <c r="B25">
        <f>150000*12</f>
        <v>1800000</v>
      </c>
      <c r="D25" s="2">
        <v>1679</v>
      </c>
      <c r="E25">
        <v>2623.33</v>
      </c>
      <c r="F25">
        <f t="shared" si="1"/>
        <v>891759.14889999991</v>
      </c>
      <c r="I25">
        <v>4.3506200000000002E-2</v>
      </c>
      <c r="J25">
        <f>I25*I26</f>
        <v>261.03719999999998</v>
      </c>
      <c r="L25" s="14" t="s">
        <v>24</v>
      </c>
      <c r="M25" s="14"/>
      <c r="S25">
        <v>6000</v>
      </c>
    </row>
    <row r="26" spans="2:20" x14ac:dyDescent="0.35">
      <c r="D26" s="2">
        <v>1520</v>
      </c>
      <c r="E26">
        <v>2623.33</v>
      </c>
      <c r="F26">
        <f t="shared" si="1"/>
        <v>1217337.0888999999</v>
      </c>
      <c r="I26">
        <v>6000</v>
      </c>
      <c r="J26" s="6">
        <f>J25/I27</f>
        <v>3.7291028571428568E-2</v>
      </c>
      <c r="L26">
        <v>26416</v>
      </c>
      <c r="M26">
        <f>L26*M28</f>
        <v>1188.72</v>
      </c>
      <c r="S26">
        <v>1149.26</v>
      </c>
      <c r="T26" s="10">
        <f>(S19*S20)/((S22*S23)+(S25*S26))</f>
        <v>3.5950407794145343E-2</v>
      </c>
    </row>
    <row r="27" spans="2:20" x14ac:dyDescent="0.35">
      <c r="D27" s="2">
        <v>2630</v>
      </c>
      <c r="E27">
        <v>2623.33</v>
      </c>
      <c r="F27">
        <f t="shared" si="1"/>
        <v>44.488900000000967</v>
      </c>
      <c r="I27">
        <v>7000</v>
      </c>
      <c r="L27">
        <v>4.2999999999999997E-2</v>
      </c>
    </row>
    <row r="28" spans="2:20" x14ac:dyDescent="0.35">
      <c r="D28" s="2">
        <v>3112</v>
      </c>
      <c r="E28">
        <v>2623.33</v>
      </c>
      <c r="F28">
        <f t="shared" si="1"/>
        <v>238798.36890000006</v>
      </c>
      <c r="L28">
        <v>2E-3</v>
      </c>
      <c r="M28">
        <f>L27+L28</f>
        <v>4.4999999999999998E-2</v>
      </c>
      <c r="P28" s="14" t="s">
        <v>25</v>
      </c>
      <c r="Q28" s="14"/>
      <c r="S28" s="14" t="s">
        <v>32</v>
      </c>
      <c r="T28" s="14"/>
    </row>
    <row r="29" spans="2:20" x14ac:dyDescent="0.35">
      <c r="D29" s="2">
        <v>1570</v>
      </c>
      <c r="E29">
        <v>2623.33</v>
      </c>
      <c r="F29">
        <f t="shared" si="1"/>
        <v>1109504.0888999999</v>
      </c>
      <c r="L29">
        <v>1.8</v>
      </c>
      <c r="M29">
        <f>L29*M31</f>
        <v>0.38183766184073564</v>
      </c>
      <c r="P29">
        <v>855.23</v>
      </c>
      <c r="S29">
        <v>2</v>
      </c>
    </row>
    <row r="30" spans="2:20" x14ac:dyDescent="0.35">
      <c r="D30" s="2">
        <v>1225</v>
      </c>
      <c r="E30">
        <v>2623.33</v>
      </c>
      <c r="F30">
        <f t="shared" si="1"/>
        <v>1955326.7888999998</v>
      </c>
      <c r="L30">
        <v>4.2999999999999997E-2</v>
      </c>
      <c r="M30">
        <f>L30+L31</f>
        <v>4.4999999999999998E-2</v>
      </c>
      <c r="N30" s="5">
        <f>M26+M29</f>
        <v>1189.1018376618408</v>
      </c>
      <c r="P30">
        <v>2E-3</v>
      </c>
      <c r="S30">
        <v>26416</v>
      </c>
    </row>
    <row r="31" spans="2:20" x14ac:dyDescent="0.35">
      <c r="D31" s="2">
        <v>2175</v>
      </c>
      <c r="E31">
        <v>2623.33</v>
      </c>
      <c r="F31">
        <f t="shared" si="1"/>
        <v>200999.78889999993</v>
      </c>
      <c r="L31">
        <v>2E-3</v>
      </c>
      <c r="M31">
        <f>SQRT(M30)</f>
        <v>0.21213203435596426</v>
      </c>
      <c r="Q31" s="9">
        <f>P29*SQRT(P30)*(P32-(P33*P34))</f>
        <v>1.6033162659073665</v>
      </c>
      <c r="S31">
        <v>150000</v>
      </c>
    </row>
    <row r="32" spans="2:20" x14ac:dyDescent="0.35">
      <c r="P32">
        <v>7.9000000000000001E-2</v>
      </c>
      <c r="S32">
        <v>7000</v>
      </c>
    </row>
    <row r="33" spans="5:20" x14ac:dyDescent="0.35">
      <c r="I33" s="14" t="s">
        <v>25</v>
      </c>
      <c r="J33" s="14"/>
      <c r="L33" s="14" t="s">
        <v>26</v>
      </c>
      <c r="M33" s="14"/>
      <c r="P33">
        <v>1.8</v>
      </c>
      <c r="S33">
        <v>1.6</v>
      </c>
    </row>
    <row r="34" spans="5:20" x14ac:dyDescent="0.35">
      <c r="I34">
        <v>855.23</v>
      </c>
      <c r="J34">
        <f>I34*J36</f>
        <v>181.42167974225131</v>
      </c>
      <c r="L34">
        <v>26416</v>
      </c>
      <c r="M34">
        <f>L34*L35</f>
        <v>792480000</v>
      </c>
      <c r="P34">
        <v>2.06E-2</v>
      </c>
      <c r="S34">
        <v>6000</v>
      </c>
      <c r="T34" s="5">
        <f>SQRT(S29*S30*(S31+(S32*S33))/S34)</f>
        <v>1191.3940294181994</v>
      </c>
    </row>
    <row r="35" spans="5:20" x14ac:dyDescent="0.35">
      <c r="I35">
        <v>4.2999999999999997E-2</v>
      </c>
      <c r="J35">
        <f>I35+I36</f>
        <v>4.4999999999999998E-2</v>
      </c>
      <c r="L35">
        <v>30000</v>
      </c>
    </row>
    <row r="36" spans="5:20" x14ac:dyDescent="0.35">
      <c r="I36">
        <v>2E-3</v>
      </c>
      <c r="J36">
        <f>SQRT(J35)</f>
        <v>0.21213203435596426</v>
      </c>
      <c r="P36" s="14" t="s">
        <v>33</v>
      </c>
      <c r="Q36" s="14"/>
      <c r="S36" s="14" t="s">
        <v>34</v>
      </c>
      <c r="T36" s="14"/>
    </row>
    <row r="37" spans="5:20" x14ac:dyDescent="0.35">
      <c r="I37">
        <v>7.9000000000000001E-2</v>
      </c>
      <c r="J37">
        <f>I37-J38</f>
        <v>5.3260000000000002E-2</v>
      </c>
      <c r="L37">
        <v>150000</v>
      </c>
      <c r="M37">
        <f>L37/L38</f>
        <v>3488372.0930232559</v>
      </c>
      <c r="P37">
        <v>6000</v>
      </c>
      <c r="S37">
        <v>1.8</v>
      </c>
    </row>
    <row r="38" spans="5:20" x14ac:dyDescent="0.35">
      <c r="I38">
        <v>1.8</v>
      </c>
      <c r="J38">
        <f>I38*I39</f>
        <v>2.5740000000000002E-2</v>
      </c>
      <c r="L38">
        <v>4.2999999999999997E-2</v>
      </c>
      <c r="P38">
        <v>1191.3900000000001</v>
      </c>
      <c r="S38">
        <v>855.23</v>
      </c>
    </row>
    <row r="39" spans="5:20" x14ac:dyDescent="0.35">
      <c r="I39">
        <v>1.43E-2</v>
      </c>
      <c r="J39" s="5">
        <f>J34*J37</f>
        <v>9.662518663072305</v>
      </c>
      <c r="S39">
        <v>2E-3</v>
      </c>
      <c r="T39" s="5">
        <f>(S37*S38)*SQRT(S39)</f>
        <v>68.84468699029722</v>
      </c>
    </row>
    <row r="40" spans="5:20" x14ac:dyDescent="0.35">
      <c r="L40">
        <v>6000</v>
      </c>
      <c r="M40">
        <f>M34+M37+L40</f>
        <v>795974372.0930233</v>
      </c>
      <c r="P40">
        <v>7000</v>
      </c>
    </row>
    <row r="41" spans="5:20" x14ac:dyDescent="0.35">
      <c r="P41">
        <v>26416</v>
      </c>
    </row>
    <row r="42" spans="5:20" x14ac:dyDescent="0.35">
      <c r="L42">
        <v>1189.0999999999999</v>
      </c>
      <c r="M42">
        <f>L42-M43</f>
        <v>1136.2679999999998</v>
      </c>
    </row>
    <row r="43" spans="5:20" x14ac:dyDescent="0.35">
      <c r="L43">
        <v>26416</v>
      </c>
      <c r="M43">
        <f>L43*L44</f>
        <v>52.832000000000001</v>
      </c>
      <c r="P43">
        <v>6000</v>
      </c>
    </row>
    <row r="44" spans="5:20" x14ac:dyDescent="0.35">
      <c r="L44">
        <v>2E-3</v>
      </c>
      <c r="P44">
        <v>1191.3900000000001</v>
      </c>
      <c r="Q44" s="10">
        <f>(P37*P38)/((P40*P41)+(P43*P44))</f>
        <v>3.7219240578247444E-2</v>
      </c>
    </row>
    <row r="46" spans="5:20" x14ac:dyDescent="0.35">
      <c r="E46" t="s">
        <v>35</v>
      </c>
      <c r="G46" t="s">
        <v>36</v>
      </c>
      <c r="L46">
        <v>26416</v>
      </c>
      <c r="M46">
        <f>L46*L47</f>
        <v>1135.8879999999999</v>
      </c>
      <c r="P46" s="14" t="s">
        <v>26</v>
      </c>
      <c r="Q46" s="14"/>
    </row>
    <row r="47" spans="5:20" x14ac:dyDescent="0.35">
      <c r="E47">
        <f>H8</f>
        <v>823500000</v>
      </c>
      <c r="F47">
        <f>E47-E48</f>
        <v>27361132.997302294</v>
      </c>
      <c r="G47">
        <f>H8</f>
        <v>823500000</v>
      </c>
      <c r="H47">
        <f>G47-G48</f>
        <v>27438610.960449815</v>
      </c>
      <c r="L47">
        <v>4.2999999999999997E-2</v>
      </c>
      <c r="P47">
        <v>26416</v>
      </c>
      <c r="Q47" s="6">
        <f>P47*P48</f>
        <v>792480000</v>
      </c>
    </row>
    <row r="48" spans="5:20" x14ac:dyDescent="0.35">
      <c r="E48">
        <f>M52</f>
        <v>796138867.00269771</v>
      </c>
      <c r="F48">
        <f>F47/E48</f>
        <v>3.4367287079340121E-2</v>
      </c>
      <c r="G48">
        <f>Q67</f>
        <v>796061389.03955019</v>
      </c>
      <c r="H48">
        <f>H47/G48</f>
        <v>3.4467958549722601E-2</v>
      </c>
      <c r="L48">
        <v>2</v>
      </c>
      <c r="M48">
        <f>M46/L48</f>
        <v>567.94399999999996</v>
      </c>
      <c r="P48">
        <v>30000</v>
      </c>
    </row>
    <row r="49" spans="4:17" x14ac:dyDescent="0.35">
      <c r="E49" s="11">
        <v>100</v>
      </c>
      <c r="F49">
        <f>F48*E49</f>
        <v>3.4367287079340123</v>
      </c>
      <c r="G49">
        <v>100</v>
      </c>
      <c r="H49">
        <f>H48*G49</f>
        <v>3.4467958549722599</v>
      </c>
      <c r="M49">
        <f>M42+M48</f>
        <v>1704.2119999999998</v>
      </c>
    </row>
    <row r="50" spans="4:17" x14ac:dyDescent="0.35">
      <c r="E50" s="3">
        <f>((E47-E48)/E47)*E49</f>
        <v>3.3225419547422335</v>
      </c>
      <c r="G50" s="3">
        <f>((G47-G48)/G47)*G49</f>
        <v>3.3319503291378041</v>
      </c>
      <c r="L50">
        <v>7000</v>
      </c>
      <c r="M50">
        <f>L50/L51</f>
        <v>162790.69767441862</v>
      </c>
      <c r="P50">
        <v>150000</v>
      </c>
      <c r="Q50" s="6">
        <f>(P50*P51)/P52</f>
        <v>3325863.0675093797</v>
      </c>
    </row>
    <row r="51" spans="4:17" x14ac:dyDescent="0.35">
      <c r="L51">
        <v>4.2999999999999997E-2</v>
      </c>
      <c r="P51">
        <v>26416</v>
      </c>
    </row>
    <row r="52" spans="4:17" x14ac:dyDescent="0.35">
      <c r="M52" s="6">
        <f>M40+M49+M50</f>
        <v>796138867.00269771</v>
      </c>
      <c r="P52">
        <v>1191.3900000000001</v>
      </c>
    </row>
    <row r="54" spans="4:17" x14ac:dyDescent="0.35">
      <c r="P54">
        <v>6000</v>
      </c>
      <c r="Q54" s="6">
        <f>P54</f>
        <v>6000</v>
      </c>
    </row>
    <row r="56" spans="4:17" x14ac:dyDescent="0.35">
      <c r="P56">
        <v>0.5</v>
      </c>
    </row>
    <row r="57" spans="4:17" x14ac:dyDescent="0.35">
      <c r="P57">
        <v>1191.3900000000001</v>
      </c>
      <c r="Q57" s="6">
        <f>((P56*P57)+P58)-(P60*P61)</f>
        <v>1194.8630000000001</v>
      </c>
    </row>
    <row r="58" spans="4:17" x14ac:dyDescent="0.35">
      <c r="D58" t="s">
        <v>37</v>
      </c>
      <c r="E58" t="s">
        <v>38</v>
      </c>
      <c r="H58" t="s">
        <v>39</v>
      </c>
      <c r="P58">
        <v>652</v>
      </c>
    </row>
    <row r="59" spans="4:17" x14ac:dyDescent="0.35">
      <c r="D59">
        <v>1149.26</v>
      </c>
      <c r="E59">
        <v>1189.0999999999999</v>
      </c>
      <c r="H59">
        <v>1191.3900000000001</v>
      </c>
    </row>
    <row r="60" spans="4:17" x14ac:dyDescent="0.35">
      <c r="P60">
        <v>26416</v>
      </c>
    </row>
    <row r="61" spans="4:17" x14ac:dyDescent="0.35">
      <c r="P61">
        <v>2E-3</v>
      </c>
    </row>
    <row r="63" spans="4:17" x14ac:dyDescent="0.35">
      <c r="D63" s="2">
        <v>2800</v>
      </c>
      <c r="E63">
        <v>1149.26</v>
      </c>
      <c r="P63">
        <v>7000</v>
      </c>
      <c r="Q63" s="6">
        <f>((P63*P64)/P65)*P67</f>
        <v>248331.10904070034</v>
      </c>
    </row>
    <row r="64" spans="4:17" x14ac:dyDescent="0.35">
      <c r="D64" s="2">
        <v>2300</v>
      </c>
      <c r="E64">
        <v>1149.26</v>
      </c>
      <c r="P64">
        <v>26416</v>
      </c>
    </row>
    <row r="65" spans="4:17" x14ac:dyDescent="0.35">
      <c r="D65" s="2">
        <v>3250</v>
      </c>
      <c r="E65">
        <v>1149.26</v>
      </c>
      <c r="P65">
        <v>1191.3900000000001</v>
      </c>
    </row>
    <row r="66" spans="4:17" x14ac:dyDescent="0.35">
      <c r="D66" s="2">
        <v>1360</v>
      </c>
      <c r="E66">
        <v>1149.26</v>
      </c>
    </row>
    <row r="67" spans="4:17" x14ac:dyDescent="0.35">
      <c r="D67" s="2">
        <v>1700</v>
      </c>
      <c r="E67">
        <v>1149.26</v>
      </c>
      <c r="P67">
        <v>1.6</v>
      </c>
      <c r="Q67" s="6">
        <f>SUM(Q47:Q63)</f>
        <v>796061389.03955019</v>
      </c>
    </row>
    <row r="68" spans="4:17" x14ac:dyDescent="0.35">
      <c r="D68" s="2">
        <v>1000</v>
      </c>
      <c r="E68">
        <v>1149.26</v>
      </c>
    </row>
    <row r="69" spans="4:17" x14ac:dyDescent="0.35">
      <c r="D69" s="2">
        <v>2500</v>
      </c>
      <c r="E69">
        <v>1149.26</v>
      </c>
    </row>
    <row r="70" spans="4:17" x14ac:dyDescent="0.35">
      <c r="D70" s="2">
        <v>3200</v>
      </c>
      <c r="E70">
        <v>1149.26</v>
      </c>
    </row>
    <row r="71" spans="4:17" x14ac:dyDescent="0.35">
      <c r="D71" s="2">
        <v>1450</v>
      </c>
      <c r="E71">
        <v>1149.26</v>
      </c>
    </row>
    <row r="72" spans="4:17" x14ac:dyDescent="0.35">
      <c r="D72" s="2">
        <v>3500</v>
      </c>
      <c r="E72">
        <v>1149.26</v>
      </c>
    </row>
    <row r="78" spans="4:17" x14ac:dyDescent="0.35">
      <c r="D78" s="1" t="s">
        <v>5</v>
      </c>
      <c r="E78" s="1" t="s">
        <v>0</v>
      </c>
      <c r="F78" s="1" t="s">
        <v>40</v>
      </c>
      <c r="G78" s="13" t="s">
        <v>41</v>
      </c>
      <c r="H78" s="1" t="s">
        <v>2</v>
      </c>
      <c r="I78" s="1" t="s">
        <v>4</v>
      </c>
    </row>
    <row r="79" spans="4:17" x14ac:dyDescent="0.35">
      <c r="D79" s="2" t="s">
        <v>6</v>
      </c>
      <c r="E79" s="2">
        <v>3350</v>
      </c>
      <c r="F79" s="2"/>
      <c r="G79">
        <v>1191.3900000000001</v>
      </c>
      <c r="H79" s="2">
        <v>3170</v>
      </c>
      <c r="I79" s="2">
        <v>180</v>
      </c>
    </row>
    <row r="80" spans="4:17" x14ac:dyDescent="0.35">
      <c r="D80" s="2" t="s">
        <v>7</v>
      </c>
      <c r="E80" s="2">
        <v>180</v>
      </c>
      <c r="F80" s="2">
        <v>2800</v>
      </c>
      <c r="G80">
        <v>1191.3900000000001</v>
      </c>
      <c r="H80" s="2">
        <v>2660</v>
      </c>
      <c r="I80" s="2">
        <v>320</v>
      </c>
    </row>
    <row r="81" spans="4:9" x14ac:dyDescent="0.35">
      <c r="D81" s="2" t="s">
        <v>8</v>
      </c>
      <c r="E81" s="2">
        <v>320</v>
      </c>
      <c r="F81" s="2">
        <v>2300</v>
      </c>
      <c r="G81">
        <v>1191.3900000000001</v>
      </c>
      <c r="H81" s="2">
        <v>2150</v>
      </c>
      <c r="I81" s="2">
        <v>470</v>
      </c>
    </row>
    <row r="82" spans="4:9" x14ac:dyDescent="0.35">
      <c r="D82" s="2" t="s">
        <v>9</v>
      </c>
      <c r="E82" s="2">
        <v>470</v>
      </c>
      <c r="F82" s="2">
        <v>3250</v>
      </c>
      <c r="G82">
        <v>1191.3900000000001</v>
      </c>
      <c r="H82" s="2">
        <v>3170</v>
      </c>
      <c r="I82" s="2">
        <v>550</v>
      </c>
    </row>
    <row r="83" spans="4:9" x14ac:dyDescent="0.35">
      <c r="D83" s="2" t="s">
        <v>10</v>
      </c>
      <c r="E83" s="2">
        <v>550</v>
      </c>
      <c r="F83" s="2">
        <v>1360</v>
      </c>
      <c r="G83">
        <v>1191.3900000000001</v>
      </c>
      <c r="H83" s="2">
        <v>1355</v>
      </c>
      <c r="I83" s="2">
        <v>555</v>
      </c>
    </row>
    <row r="84" spans="4:9" x14ac:dyDescent="0.35">
      <c r="D84" s="2" t="s">
        <v>11</v>
      </c>
      <c r="E84" s="2">
        <v>555</v>
      </c>
      <c r="F84" s="2">
        <v>1700</v>
      </c>
      <c r="G84">
        <v>1191.3900000000001</v>
      </c>
      <c r="H84" s="2">
        <v>1679</v>
      </c>
      <c r="I84" s="2">
        <v>576</v>
      </c>
    </row>
    <row r="85" spans="4:9" x14ac:dyDescent="0.35">
      <c r="D85" s="2" t="s">
        <v>12</v>
      </c>
      <c r="E85" s="2">
        <v>576</v>
      </c>
      <c r="F85" s="2">
        <v>1000</v>
      </c>
      <c r="G85">
        <v>1191.3900000000001</v>
      </c>
      <c r="H85" s="2">
        <v>1520</v>
      </c>
      <c r="I85" s="2">
        <v>56</v>
      </c>
    </row>
    <row r="86" spans="4:9" x14ac:dyDescent="0.35">
      <c r="D86" s="2" t="s">
        <v>13</v>
      </c>
      <c r="E86" s="2">
        <v>56</v>
      </c>
      <c r="F86" s="2">
        <v>2500</v>
      </c>
      <c r="G86">
        <v>1191.3900000000001</v>
      </c>
      <c r="H86" s="2">
        <v>2630</v>
      </c>
      <c r="I86" s="2">
        <v>0</v>
      </c>
    </row>
    <row r="87" spans="4:9" x14ac:dyDescent="0.35">
      <c r="D87" s="2" t="s">
        <v>14</v>
      </c>
      <c r="E87" s="2">
        <v>0</v>
      </c>
      <c r="F87" s="2">
        <v>3200</v>
      </c>
      <c r="G87">
        <v>1191.3900000000001</v>
      </c>
      <c r="H87" s="2">
        <v>3112</v>
      </c>
      <c r="I87" s="2">
        <v>88</v>
      </c>
    </row>
    <row r="88" spans="4:9" x14ac:dyDescent="0.35">
      <c r="D88" s="2" t="s">
        <v>15</v>
      </c>
      <c r="E88" s="2">
        <v>88</v>
      </c>
      <c r="F88" s="2">
        <v>1450</v>
      </c>
      <c r="G88">
        <v>1191.3900000000001</v>
      </c>
      <c r="H88" s="2">
        <v>1570</v>
      </c>
      <c r="I88" s="2">
        <v>0</v>
      </c>
    </row>
    <row r="89" spans="4:9" x14ac:dyDescent="0.35">
      <c r="D89" s="2" t="s">
        <v>16</v>
      </c>
      <c r="E89" s="2">
        <v>0</v>
      </c>
      <c r="F89" s="2">
        <v>3500</v>
      </c>
      <c r="G89">
        <v>1191.3900000000001</v>
      </c>
      <c r="H89" s="2">
        <v>1225</v>
      </c>
      <c r="I89" s="2">
        <v>2275</v>
      </c>
    </row>
    <row r="90" spans="4:9" x14ac:dyDescent="0.35">
      <c r="D90" s="2" t="s">
        <v>17</v>
      </c>
      <c r="E90" s="2">
        <v>2275</v>
      </c>
      <c r="F90" s="2">
        <v>0</v>
      </c>
      <c r="G90">
        <v>1191.3900000000001</v>
      </c>
      <c r="H90" s="2">
        <v>2175</v>
      </c>
      <c r="I90" s="2">
        <v>100</v>
      </c>
    </row>
  </sheetData>
  <mergeCells count="18">
    <mergeCell ref="P46:Q46"/>
    <mergeCell ref="P16:T17"/>
    <mergeCell ref="P18:Q18"/>
    <mergeCell ref="P28:Q28"/>
    <mergeCell ref="S28:T28"/>
    <mergeCell ref="P36:Q36"/>
    <mergeCell ref="S36:T36"/>
    <mergeCell ref="G4:J4"/>
    <mergeCell ref="G5:J5"/>
    <mergeCell ref="D18:G18"/>
    <mergeCell ref="I18:J18"/>
    <mergeCell ref="I16:N17"/>
    <mergeCell ref="L18:M18"/>
    <mergeCell ref="I24:J24"/>
    <mergeCell ref="L25:M25"/>
    <mergeCell ref="I33:J33"/>
    <mergeCell ref="L33:M33"/>
    <mergeCell ref="H7:I7"/>
  </mergeCell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Hizam Anshori</dc:creator>
  <cp:lastModifiedBy>Muhammad Hizam Anshori</cp:lastModifiedBy>
  <dcterms:created xsi:type="dcterms:W3CDTF">2024-02-22T11:16:03Z</dcterms:created>
  <dcterms:modified xsi:type="dcterms:W3CDTF">2024-05-29T06:08:46Z</dcterms:modified>
</cp:coreProperties>
</file>